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<sst xmlns="http://schemas.openxmlformats.org/spreadsheetml/2006/main" count="1235" uniqueCount="291">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</sst>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285</v>
      </c>
      <c r="N3" s="235" t="s">
        <v>286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282</v>
      </c>
      <c r="F4" s="240" t="s">
        <v>116</v>
      </c>
      <c r="G4" s="242" t="s">
        <v>283</v>
      </c>
      <c r="H4" s="219" t="s">
        <v>284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290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287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364117.68999999994</v>
      </c>
      <c r="G8" s="18">
        <f aca="true" t="shared" si="0" ref="G8:G54">F8-E8</f>
        <v>35944.28999999998</v>
      </c>
      <c r="H8" s="45">
        <f>F8/E8*100</f>
        <v>110.95283469044108</v>
      </c>
      <c r="I8" s="31">
        <f aca="true" t="shared" si="1" ref="I8:I54">F8-D8</f>
        <v>-208171.31000000006</v>
      </c>
      <c r="J8" s="31">
        <f aca="true" t="shared" si="2" ref="J8:J14">F8/D8*100</f>
        <v>63.62479271836431</v>
      </c>
      <c r="K8" s="18">
        <f>K9+K15+K18+K19+K20+K32</f>
        <v>86806.464</v>
      </c>
      <c r="L8" s="18"/>
      <c r="M8" s="18">
        <f>M9+M15+M18+M19+M20+M32+M17</f>
        <v>46577</v>
      </c>
      <c r="N8" s="18">
        <f>N9+N15+N18+N19+N20+N32+N17</f>
        <v>58998.57499999999</v>
      </c>
      <c r="O8" s="31">
        <f aca="true" t="shared" si="3" ref="O8:O54">N8-M8</f>
        <v>12421.57499999999</v>
      </c>
      <c r="P8" s="31">
        <f>F8/M8*100</f>
        <v>781.7542778624642</v>
      </c>
      <c r="Q8" s="31">
        <f>N8-33748.16</f>
        <v>25250.414999999986</v>
      </c>
      <c r="R8" s="125">
        <f>N8/33748.16</f>
        <v>1.7482012352673444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201408.44</v>
      </c>
      <c r="G9" s="43">
        <f t="shared" si="0"/>
        <v>13103.790000000008</v>
      </c>
      <c r="H9" s="35">
        <f aca="true" t="shared" si="4" ref="H9:H32">F9/E9*100</f>
        <v>106.95882443688991</v>
      </c>
      <c r="I9" s="50">
        <f t="shared" si="1"/>
        <v>-111281.56</v>
      </c>
      <c r="J9" s="50">
        <f t="shared" si="2"/>
        <v>64.4115385845406</v>
      </c>
      <c r="K9" s="132">
        <f>F9-217885.62/75*60</f>
        <v>27099.944000000018</v>
      </c>
      <c r="L9" s="132">
        <f>F9/(217885.62/75*60)*100</f>
        <v>115.54711595928178</v>
      </c>
      <c r="M9" s="35">
        <f>E9-червень!E9</f>
        <v>28146</v>
      </c>
      <c r="N9" s="35">
        <f>F9-червень!F9</f>
        <v>30028.72</v>
      </c>
      <c r="O9" s="47">
        <f t="shared" si="3"/>
        <v>1882.7200000000012</v>
      </c>
      <c r="P9" s="50">
        <f aca="true" t="shared" si="5" ref="P9:P32">N9/M9*100</f>
        <v>106.68912101186669</v>
      </c>
      <c r="Q9" s="132">
        <f>N9-26568.11</f>
        <v>3460.6100000000006</v>
      </c>
      <c r="R9" s="133">
        <f>N9/26568.11</f>
        <v>1.1302542785316683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178228.76</v>
      </c>
      <c r="G10" s="135">
        <f t="shared" si="0"/>
        <v>12998.51000000001</v>
      </c>
      <c r="H10" s="137">
        <f t="shared" si="4"/>
        <v>107.86690693744035</v>
      </c>
      <c r="I10" s="136">
        <f t="shared" si="1"/>
        <v>-62181.23999999999</v>
      </c>
      <c r="J10" s="136">
        <f t="shared" si="2"/>
        <v>74.13533546857452</v>
      </c>
      <c r="K10" s="138">
        <f>F10-193695.6/75*60</f>
        <v>23272.28</v>
      </c>
      <c r="L10" s="138">
        <f>F10/(193695.6/75*60)*100</f>
        <v>115.01859102633203</v>
      </c>
      <c r="M10" s="35">
        <f>E10-червень!E10</f>
        <v>23736</v>
      </c>
      <c r="N10" s="35">
        <f>F10-червень!F10</f>
        <v>26001.860000000015</v>
      </c>
      <c r="O10" s="138">
        <f t="shared" si="3"/>
        <v>2265.860000000015</v>
      </c>
      <c r="P10" s="136">
        <f t="shared" si="5"/>
        <v>109.54609032692962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10785.4</v>
      </c>
      <c r="G11" s="135">
        <f t="shared" si="0"/>
        <v>-1922.6000000000004</v>
      </c>
      <c r="H11" s="137">
        <f t="shared" si="4"/>
        <v>84.87094743468681</v>
      </c>
      <c r="I11" s="136">
        <f t="shared" si="1"/>
        <v>-12914.6</v>
      </c>
      <c r="J11" s="136">
        <f t="shared" si="2"/>
        <v>45.50801687763713</v>
      </c>
      <c r="K11" s="138">
        <f>F11-13818.75/75*60</f>
        <v>-269.60000000000036</v>
      </c>
      <c r="L11" s="138">
        <f>F11/(13818.75/75*60)*100</f>
        <v>97.56128448665761</v>
      </c>
      <c r="M11" s="35">
        <f>E11-червень!E11</f>
        <v>1920</v>
      </c>
      <c r="N11" s="35">
        <f>F11-червень!F11</f>
        <v>1572.2999999999993</v>
      </c>
      <c r="O11" s="138">
        <f t="shared" si="3"/>
        <v>-347.7000000000007</v>
      </c>
      <c r="P11" s="136">
        <f t="shared" si="5"/>
        <v>81.89062499999996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3046.65</v>
      </c>
      <c r="G12" s="135">
        <f t="shared" si="0"/>
        <v>217.6500000000001</v>
      </c>
      <c r="H12" s="137">
        <f t="shared" si="4"/>
        <v>107.69353128313892</v>
      </c>
      <c r="I12" s="136">
        <f t="shared" si="1"/>
        <v>-2753.35</v>
      </c>
      <c r="J12" s="136">
        <f t="shared" si="2"/>
        <v>52.528448275862075</v>
      </c>
      <c r="K12" s="138">
        <f>F12-4382.58/75*60</f>
        <v>-459.41399999999976</v>
      </c>
      <c r="L12" s="138">
        <f>F12/(4382.58*60)*100</f>
        <v>1.158621177479932</v>
      </c>
      <c r="M12" s="35">
        <f>E12-червень!E12</f>
        <v>330</v>
      </c>
      <c r="N12" s="35">
        <f>F12-червень!F12</f>
        <v>454.1199999999999</v>
      </c>
      <c r="O12" s="138">
        <f t="shared" si="3"/>
        <v>124.11999999999989</v>
      </c>
      <c r="P12" s="136">
        <f t="shared" si="5"/>
        <v>137.6121212121212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3887.51</v>
      </c>
      <c r="G13" s="135">
        <f t="shared" si="0"/>
        <v>-1225.8899999999994</v>
      </c>
      <c r="H13" s="137">
        <f t="shared" si="4"/>
        <v>76.02593186529512</v>
      </c>
      <c r="I13" s="136">
        <f t="shared" si="1"/>
        <v>-4512.49</v>
      </c>
      <c r="J13" s="136">
        <f t="shared" si="2"/>
        <v>46.27988095238095</v>
      </c>
      <c r="K13" s="138">
        <f>F13-5960.54/75*60</f>
        <v>-880.9219999999996</v>
      </c>
      <c r="L13" s="138">
        <f>F13/(5960.54/75*60)*100</f>
        <v>81.5259607351012</v>
      </c>
      <c r="M13" s="35">
        <f>E13-червень!E13</f>
        <v>1769.9999999999995</v>
      </c>
      <c r="N13" s="35">
        <f>F13-червень!F13</f>
        <v>1104.1000000000004</v>
      </c>
      <c r="O13" s="138">
        <f t="shared" si="3"/>
        <v>-665.8999999999992</v>
      </c>
      <c r="P13" s="136">
        <f t="shared" si="5"/>
        <v>62.37853107344636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37042.61</v>
      </c>
      <c r="G19" s="43">
        <f t="shared" si="0"/>
        <v>10819.86</v>
      </c>
      <c r="H19" s="35">
        <f t="shared" si="4"/>
        <v>141.26134749406526</v>
      </c>
      <c r="I19" s="50">
        <f t="shared" si="1"/>
        <v>-25167.39</v>
      </c>
      <c r="J19" s="178">
        <f>F19/D19*100</f>
        <v>59.54446230509565</v>
      </c>
      <c r="K19" s="179">
        <f>F19-0</f>
        <v>37042.61</v>
      </c>
      <c r="L19" s="180"/>
      <c r="M19" s="35">
        <f>E19-червень!E19</f>
        <v>2720</v>
      </c>
      <c r="N19" s="35">
        <f>F19-червень!F19</f>
        <v>6926.116000000002</v>
      </c>
      <c r="O19" s="47">
        <f t="shared" si="3"/>
        <v>4206.116000000002</v>
      </c>
      <c r="P19" s="50">
        <f t="shared" si="5"/>
        <v>254.63661764705887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122410.47</v>
      </c>
      <c r="G20" s="43">
        <f t="shared" si="0"/>
        <v>12950.770000000004</v>
      </c>
      <c r="H20" s="35">
        <f t="shared" si="4"/>
        <v>111.83154165414304</v>
      </c>
      <c r="I20" s="50">
        <f t="shared" si="1"/>
        <v>-67459.53</v>
      </c>
      <c r="J20" s="178">
        <f aca="true" t="shared" si="6" ref="J20:J46">F20/D20*100</f>
        <v>64.4706746721441</v>
      </c>
      <c r="K20" s="178">
        <f>K21+K25+K26+K27</f>
        <v>25068.58999999999</v>
      </c>
      <c r="L20" s="136"/>
      <c r="M20" s="35">
        <f>E20-червень!E20</f>
        <v>15703.800000000003</v>
      </c>
      <c r="N20" s="35">
        <f>F20-червень!F20</f>
        <v>21966.11899999999</v>
      </c>
      <c r="O20" s="47">
        <f t="shared" si="3"/>
        <v>6262.318999999989</v>
      </c>
      <c r="P20" s="50">
        <f t="shared" si="5"/>
        <v>139.87773023089943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67618.51</v>
      </c>
      <c r="G21" s="43">
        <f t="shared" si="0"/>
        <v>10115.309999999998</v>
      </c>
      <c r="H21" s="35">
        <f t="shared" si="4"/>
        <v>117.59086450840996</v>
      </c>
      <c r="I21" s="50">
        <f t="shared" si="1"/>
        <v>-42681.490000000005</v>
      </c>
      <c r="J21" s="178">
        <f t="shared" si="6"/>
        <v>61.3041795104261</v>
      </c>
      <c r="K21" s="178">
        <f>K22+K23+K24</f>
        <v>20257.249999999993</v>
      </c>
      <c r="L21" s="136"/>
      <c r="M21" s="35">
        <f>E21-червень!E21</f>
        <v>9146</v>
      </c>
      <c r="N21" s="35">
        <f>F21-червень!F21</f>
        <v>12861.193999999989</v>
      </c>
      <c r="O21" s="47">
        <f t="shared" si="3"/>
        <v>3715.1939999999886</v>
      </c>
      <c r="P21" s="50">
        <f t="shared" si="5"/>
        <v>140.62097091624742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8406.97</v>
      </c>
      <c r="G22" s="135">
        <f t="shared" si="0"/>
        <v>7827.7699999999995</v>
      </c>
      <c r="H22" s="137">
        <f t="shared" si="4"/>
        <v>1451.479627071823</v>
      </c>
      <c r="I22" s="136">
        <f t="shared" si="1"/>
        <v>-2293.0300000000007</v>
      </c>
      <c r="J22" s="136">
        <f t="shared" si="6"/>
        <v>78.56981308411214</v>
      </c>
      <c r="K22" s="136">
        <f>F22-259.1</f>
        <v>8147.869999999999</v>
      </c>
      <c r="L22" s="136">
        <f>F22/259.1*100</f>
        <v>3244.6815901196446</v>
      </c>
      <c r="M22" s="35">
        <f>E22-червень!E22</f>
        <v>213.00000000000006</v>
      </c>
      <c r="N22" s="35">
        <f>F22-червень!F22</f>
        <v>3449.8669999999993</v>
      </c>
      <c r="O22" s="138">
        <f t="shared" si="3"/>
        <v>3236.8669999999993</v>
      </c>
      <c r="P22" s="136">
        <f t="shared" si="5"/>
        <v>1619.6558685446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713.2</v>
      </c>
      <c r="G23" s="135">
        <f t="shared" si="0"/>
        <v>338.20000000000005</v>
      </c>
      <c r="H23" s="137"/>
      <c r="I23" s="136">
        <f t="shared" si="1"/>
        <v>-1386.8</v>
      </c>
      <c r="J23" s="136">
        <f t="shared" si="6"/>
        <v>33.96190476190476</v>
      </c>
      <c r="K23" s="136">
        <f>F23-0</f>
        <v>713.2</v>
      </c>
      <c r="L23" s="136"/>
      <c r="M23" s="35">
        <f>E23-червень!E23</f>
        <v>125</v>
      </c>
      <c r="N23" s="35">
        <f>F23-червень!F23</f>
        <v>502.52000000000004</v>
      </c>
      <c r="O23" s="138">
        <f t="shared" si="3"/>
        <v>377.52000000000004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58498.34</v>
      </c>
      <c r="G24" s="135">
        <f t="shared" si="0"/>
        <v>1949.3399999999965</v>
      </c>
      <c r="H24" s="137">
        <f t="shared" si="4"/>
        <v>103.44716971122389</v>
      </c>
      <c r="I24" s="136">
        <f t="shared" si="1"/>
        <v>-39001.66</v>
      </c>
      <c r="J24" s="136">
        <f t="shared" si="6"/>
        <v>59.99829743589743</v>
      </c>
      <c r="K24" s="139">
        <f>F24-47102.16</f>
        <v>11396.179999999993</v>
      </c>
      <c r="L24" s="139">
        <f>F24/47102.16*100</f>
        <v>124.19460169130245</v>
      </c>
      <c r="M24" s="35">
        <f>E24-червень!E24</f>
        <v>8808</v>
      </c>
      <c r="N24" s="35">
        <f>F24-червень!F24</f>
        <v>8908.806999999993</v>
      </c>
      <c r="O24" s="138">
        <f t="shared" si="3"/>
        <v>100.80699999999342</v>
      </c>
      <c r="P24" s="136">
        <f t="shared" si="5"/>
        <v>101.14449364214344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-492.98</v>
      </c>
      <c r="G26" s="43">
        <f t="shared" si="0"/>
        <v>-492.98</v>
      </c>
      <c r="H26" s="35"/>
      <c r="I26" s="50">
        <f t="shared" si="1"/>
        <v>-492.98</v>
      </c>
      <c r="J26" s="136"/>
      <c r="K26" s="178">
        <f>F26-3736.89</f>
        <v>-4229.87</v>
      </c>
      <c r="L26" s="178">
        <f>F26/3736.89*100</f>
        <v>-13.192253451399427</v>
      </c>
      <c r="M26" s="35">
        <f>E26-червень!E26</f>
        <v>0</v>
      </c>
      <c r="N26" s="35">
        <f>F26-червень!F26</f>
        <v>-89.62100000000004</v>
      </c>
      <c r="O26" s="47">
        <f t="shared" si="3"/>
        <v>-89.62100000000004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55243.28</v>
      </c>
      <c r="G27" s="43">
        <f t="shared" si="0"/>
        <v>3316.779999999999</v>
      </c>
      <c r="H27" s="35">
        <f t="shared" si="4"/>
        <v>106.38745149393856</v>
      </c>
      <c r="I27" s="50">
        <f t="shared" si="1"/>
        <v>-24256.72</v>
      </c>
      <c r="J27" s="178">
        <f t="shared" si="6"/>
        <v>69.48840251572327</v>
      </c>
      <c r="K27" s="132">
        <f>F27-46209.73</f>
        <v>9033.549999999996</v>
      </c>
      <c r="L27" s="132">
        <f>F27/46209.73*100</f>
        <v>119.54902138575576</v>
      </c>
      <c r="M27" s="35">
        <f>E27-червень!E27</f>
        <v>6550</v>
      </c>
      <c r="N27" s="35">
        <f>F27-червень!F27</f>
        <v>9190.309999999998</v>
      </c>
      <c r="O27" s="47">
        <f t="shared" si="3"/>
        <v>2640.3099999999977</v>
      </c>
      <c r="P27" s="50">
        <f t="shared" si="5"/>
        <v>140.31007633587782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13031.26</v>
      </c>
      <c r="G29" s="135">
        <f t="shared" si="0"/>
        <v>791.2600000000002</v>
      </c>
      <c r="H29" s="137">
        <f t="shared" si="4"/>
        <v>106.46454248366013</v>
      </c>
      <c r="I29" s="136">
        <f t="shared" si="1"/>
        <v>-3468.74</v>
      </c>
      <c r="J29" s="136">
        <f t="shared" si="6"/>
        <v>78.97733333333333</v>
      </c>
      <c r="K29" s="139">
        <f>F29-12569.54</f>
        <v>461.71999999999935</v>
      </c>
      <c r="L29" s="139">
        <f>F29/12569.54*100</f>
        <v>103.67332456080334</v>
      </c>
      <c r="M29" s="35">
        <f>E29-червень!E29</f>
        <v>1200</v>
      </c>
      <c r="N29" s="35">
        <f>F29-червень!F29</f>
        <v>1608.1000000000004</v>
      </c>
      <c r="O29" s="138">
        <f t="shared" si="3"/>
        <v>408.10000000000036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42203.42</v>
      </c>
      <c r="G30" s="135">
        <f t="shared" si="0"/>
        <v>2516.9199999999983</v>
      </c>
      <c r="H30" s="137">
        <f t="shared" si="4"/>
        <v>106.3420054678543</v>
      </c>
      <c r="I30" s="136">
        <f t="shared" si="1"/>
        <v>-9796.580000000002</v>
      </c>
      <c r="J30" s="136">
        <f t="shared" si="6"/>
        <v>81.16042307692307</v>
      </c>
      <c r="K30" s="139">
        <f>F30-33639.82</f>
        <v>8563.599999999999</v>
      </c>
      <c r="L30" s="139">
        <f>F30/33639.82*100</f>
        <v>125.45673549977379</v>
      </c>
      <c r="M30" s="35">
        <f>E30-червень!E30</f>
        <v>5350</v>
      </c>
      <c r="N30" s="35">
        <f>F30-червень!F30</f>
        <v>7580.57</v>
      </c>
      <c r="O30" s="138">
        <f t="shared" si="3"/>
        <v>2230.5699999999997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4029.04</v>
      </c>
      <c r="G32" s="43">
        <f t="shared" si="0"/>
        <v>27.039999999999964</v>
      </c>
      <c r="H32" s="35">
        <f t="shared" si="4"/>
        <v>100.67566216891555</v>
      </c>
      <c r="I32" s="50">
        <f t="shared" si="1"/>
        <v>-3470.96</v>
      </c>
      <c r="J32" s="178">
        <f t="shared" si="6"/>
        <v>53.72053333333333</v>
      </c>
      <c r="K32" s="178">
        <f>F32-5308.17</f>
        <v>-1279.13</v>
      </c>
      <c r="L32" s="178">
        <f>F32/5308.17*100</f>
        <v>75.90261803973874</v>
      </c>
      <c r="M32" s="35">
        <f>E32-червень!E32</f>
        <v>7.199999999999818</v>
      </c>
      <c r="N32" s="35">
        <f>F32-червень!F32</f>
        <v>8.239999999999782</v>
      </c>
      <c r="O32" s="47">
        <f t="shared" si="3"/>
        <v>1.0399999999999636</v>
      </c>
      <c r="P32" s="50">
        <f t="shared" si="5"/>
        <v>114.4444444444443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18705.54</v>
      </c>
      <c r="G33" s="44">
        <f t="shared" si="0"/>
        <v>11535.54</v>
      </c>
      <c r="H33" s="45">
        <f>F33/E33*100</f>
        <v>260.88619246861924</v>
      </c>
      <c r="I33" s="31">
        <f t="shared" si="1"/>
        <v>-10001.559999999998</v>
      </c>
      <c r="J33" s="31">
        <f t="shared" si="6"/>
        <v>65.15997784520206</v>
      </c>
      <c r="K33" s="18">
        <f>K34+K35+K36+K37+K38+K41+K42+K47+K48+K52+K40</f>
        <v>11263.14</v>
      </c>
      <c r="L33" s="18"/>
      <c r="M33" s="18">
        <f>M34+M35+M36+M37+M38+M41+M42+M47+M48+M52+M40+M39</f>
        <v>1052.5</v>
      </c>
      <c r="N33" s="18">
        <f>N34+N35+N36+N37+N38+N41+N42+N47+N48+N52+N40+N39</f>
        <v>2832.5399999999995</v>
      </c>
      <c r="O33" s="49">
        <f t="shared" si="3"/>
        <v>1780.0399999999995</v>
      </c>
      <c r="P33" s="31">
        <f>N33/M33*100</f>
        <v>269.1249406175772</v>
      </c>
      <c r="Q33" s="31">
        <f>N33-1017.63</f>
        <v>1814.9099999999994</v>
      </c>
      <c r="R33" s="127">
        <f>N33/1017.63</f>
        <v>2.783467468529819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245.78</v>
      </c>
      <c r="G36" s="43">
        <f t="shared" si="0"/>
        <v>245.78</v>
      </c>
      <c r="H36" s="35"/>
      <c r="I36" s="50">
        <f t="shared" si="1"/>
        <v>5.780000000000001</v>
      </c>
      <c r="J36" s="50"/>
      <c r="K36" s="50">
        <f>F36-214.58</f>
        <v>31.19999999999999</v>
      </c>
      <c r="L36" s="50">
        <f>F36/214.58*100</f>
        <v>114.54003168981266</v>
      </c>
      <c r="M36" s="35">
        <f>E36-червень!E36</f>
        <v>0</v>
      </c>
      <c r="N36" s="35">
        <f>F36-червень!F36</f>
        <v>57.599999999999994</v>
      </c>
      <c r="O36" s="47">
        <f t="shared" si="3"/>
        <v>57.599999999999994</v>
      </c>
      <c r="P36" s="50"/>
      <c r="Q36" s="50">
        <f>N36-4.23</f>
        <v>53.36999999999999</v>
      </c>
      <c r="R36" s="126">
        <f>N36/4.23</f>
        <v>13.617021276595741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89.39</v>
      </c>
      <c r="G38" s="43">
        <f t="shared" si="0"/>
        <v>9.39</v>
      </c>
      <c r="H38" s="35">
        <f>F38/E38*100</f>
        <v>111.7375</v>
      </c>
      <c r="I38" s="50">
        <f t="shared" si="1"/>
        <v>-50.61</v>
      </c>
      <c r="J38" s="50">
        <f t="shared" si="6"/>
        <v>63.849999999999994</v>
      </c>
      <c r="K38" s="50">
        <f>F38-78.24</f>
        <v>11.150000000000006</v>
      </c>
      <c r="L38" s="50">
        <f>F38/78.24*100</f>
        <v>114.25102249488755</v>
      </c>
      <c r="M38" s="35">
        <f>E38-червень!E38</f>
        <v>15</v>
      </c>
      <c r="N38" s="35">
        <f>F38-червень!F38</f>
        <v>7.769999999999996</v>
      </c>
      <c r="O38" s="47">
        <f t="shared" si="3"/>
        <v>-7.230000000000004</v>
      </c>
      <c r="P38" s="50">
        <f>N38/M38*100</f>
        <v>51.79999999999997</v>
      </c>
      <c r="Q38" s="50">
        <f>N38-9.02</f>
        <v>-1.2500000000000036</v>
      </c>
      <c r="R38" s="126">
        <f>N38/9.02</f>
        <v>0.8614190687361415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5885.39</v>
      </c>
      <c r="G40" s="43"/>
      <c r="H40" s="35"/>
      <c r="I40" s="50">
        <f t="shared" si="1"/>
        <v>-3114.6099999999997</v>
      </c>
      <c r="J40" s="50"/>
      <c r="K40" s="50">
        <f>F40-0</f>
        <v>5885.39</v>
      </c>
      <c r="L40" s="50"/>
      <c r="M40" s="35">
        <f>E40-червень!E40</f>
        <v>0</v>
      </c>
      <c r="N40" s="35">
        <f>F40-червень!F40</f>
        <v>957.79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4668.49</v>
      </c>
      <c r="G42" s="43">
        <f t="shared" si="0"/>
        <v>4106.49</v>
      </c>
      <c r="H42" s="35">
        <f>F42/E42*100</f>
        <v>830.6921708185052</v>
      </c>
      <c r="I42" s="50">
        <f t="shared" si="1"/>
        <v>-2431.51</v>
      </c>
      <c r="J42" s="50">
        <f t="shared" si="6"/>
        <v>65.75338028169013</v>
      </c>
      <c r="K42" s="50">
        <f>F42-531.41</f>
        <v>4137.08</v>
      </c>
      <c r="L42" s="50">
        <f>F42/531.41*100</f>
        <v>878.5100016936076</v>
      </c>
      <c r="M42" s="35">
        <f>E42-червень!E42</f>
        <v>112</v>
      </c>
      <c r="N42" s="35">
        <f>F42-червень!F42</f>
        <v>635.25</v>
      </c>
      <c r="O42" s="47">
        <f t="shared" si="3"/>
        <v>523.25</v>
      </c>
      <c r="P42" s="50">
        <f>N42/M42*100</f>
        <v>567.1875</v>
      </c>
      <c r="Q42" s="50">
        <f>N42-79.51</f>
        <v>555.74</v>
      </c>
      <c r="R42" s="126">
        <f>N42/79.51</f>
        <v>7.989561061501697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2569.75</v>
      </c>
      <c r="G48" s="43">
        <f t="shared" si="0"/>
        <v>219.75</v>
      </c>
      <c r="H48" s="35">
        <f>F48/E48*100</f>
        <v>109.35106382978724</v>
      </c>
      <c r="I48" s="50">
        <f t="shared" si="1"/>
        <v>-1630.25</v>
      </c>
      <c r="J48" s="50">
        <f>F48/D48*100</f>
        <v>61.1845238095238</v>
      </c>
      <c r="K48" s="50">
        <f>F48-2346.09</f>
        <v>223.65999999999985</v>
      </c>
      <c r="L48" s="50">
        <f>F48/2346.09*100</f>
        <v>109.53330861134909</v>
      </c>
      <c r="M48" s="35">
        <f>E48-червень!E48</f>
        <v>370</v>
      </c>
      <c r="N48" s="35">
        <f>F48-червень!F48</f>
        <v>333.5999999999999</v>
      </c>
      <c r="O48" s="47">
        <f t="shared" si="3"/>
        <v>-36.40000000000009</v>
      </c>
      <c r="P48" s="50">
        <f aca="true" t="shared" si="7" ref="P48:P53">N48/M48*100</f>
        <v>90.16216216216215</v>
      </c>
      <c r="Q48" s="50">
        <f>N48-277.38</f>
        <v>56.219999999999914</v>
      </c>
      <c r="R48" s="126">
        <f>N48/277.38</f>
        <v>1.2026822409690674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671.7</v>
      </c>
      <c r="G51" s="135">
        <f t="shared" si="0"/>
        <v>671.7</v>
      </c>
      <c r="H51" s="137"/>
      <c r="I51" s="136">
        <f t="shared" si="1"/>
        <v>671.7</v>
      </c>
      <c r="J51" s="136"/>
      <c r="K51" s="136">
        <f>F51-469.9</f>
        <v>201.80000000000007</v>
      </c>
      <c r="L51" s="138">
        <f>F51/469.9*100</f>
        <v>142.94530751223667</v>
      </c>
      <c r="M51" s="35">
        <f>E51-червень!E51</f>
        <v>0</v>
      </c>
      <c r="N51" s="35">
        <f>F51-червень!F51</f>
        <v>94.30000000000007</v>
      </c>
      <c r="O51" s="138">
        <f t="shared" si="3"/>
        <v>94.30000000000007</v>
      </c>
      <c r="P51" s="136"/>
      <c r="Q51" s="50">
        <f>N51-64.93</f>
        <v>29.37000000000006</v>
      </c>
      <c r="R51" s="126">
        <f>N51/64.93</f>
        <v>1.4523332819959966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382837.7499999999</v>
      </c>
      <c r="G55" s="44">
        <f>F55-E55</f>
        <v>47479.34999999992</v>
      </c>
      <c r="H55" s="45">
        <f>F55/E55*100</f>
        <v>114.15779357248839</v>
      </c>
      <c r="I55" s="31">
        <f>F55-D55</f>
        <v>-218184.8500000001</v>
      </c>
      <c r="J55" s="31">
        <f>F55/D55*100</f>
        <v>63.69772950301701</v>
      </c>
      <c r="K55" s="31">
        <f>K8+K33+K53+K54</f>
        <v>98068.61400000002</v>
      </c>
      <c r="L55" s="31">
        <f>F55/(F55-K55)*100</f>
        <v>134.43793642018846</v>
      </c>
      <c r="M55" s="18">
        <f>M8+M33+M53+M54</f>
        <v>47631.7</v>
      </c>
      <c r="N55" s="18">
        <f>N8+N33+N53+N54</f>
        <v>61839.094999999994</v>
      </c>
      <c r="O55" s="49">
        <f>N55-M55</f>
        <v>14207.394999999997</v>
      </c>
      <c r="P55" s="31">
        <f>N55/M55*100</f>
        <v>129.82760430553603</v>
      </c>
      <c r="Q55" s="31">
        <f>N55-34768</f>
        <v>27071.094999999994</v>
      </c>
      <c r="R55" s="171">
        <f>N55/34768</f>
        <v>1.7786210020708695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3563.67</v>
      </c>
      <c r="G65" s="43">
        <f t="shared" si="8"/>
        <v>-149.09000000000015</v>
      </c>
      <c r="H65" s="35">
        <f>F65/E65*100</f>
        <v>95.98438897208545</v>
      </c>
      <c r="I65" s="53">
        <f t="shared" si="9"/>
        <v>-8012.33</v>
      </c>
      <c r="J65" s="53">
        <f t="shared" si="11"/>
        <v>30.784986178299935</v>
      </c>
      <c r="K65" s="53">
        <f>F65-2235.97</f>
        <v>1327.7000000000003</v>
      </c>
      <c r="L65" s="53">
        <f>F65/2235.97*100</f>
        <v>159.37915088306195</v>
      </c>
      <c r="M65" s="35">
        <f>E65-червень!E65</f>
        <v>1213.0600000000004</v>
      </c>
      <c r="N65" s="35">
        <f>F65-червень!F65</f>
        <v>306.5999999999999</v>
      </c>
      <c r="O65" s="47">
        <f t="shared" si="10"/>
        <v>-906.4600000000005</v>
      </c>
      <c r="P65" s="53">
        <f>N65/M65*100</f>
        <v>25.274924570919804</v>
      </c>
      <c r="Q65" s="53">
        <f>N65-450.01</f>
        <v>-143.41000000000008</v>
      </c>
      <c r="R65" s="129">
        <f>N65/450.01</f>
        <v>0.6813181929290458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5975.29</v>
      </c>
      <c r="G67" s="55">
        <f t="shared" si="8"/>
        <v>973.9299999999994</v>
      </c>
      <c r="H67" s="65">
        <f>F67/E67*100</f>
        <v>119.47330326151287</v>
      </c>
      <c r="I67" s="54">
        <f t="shared" si="9"/>
        <v>-11100.71</v>
      </c>
      <c r="J67" s="54">
        <f t="shared" si="11"/>
        <v>34.99232841414851</v>
      </c>
      <c r="K67" s="54">
        <f>K64+K65+K66</f>
        <v>1296.9700000000003</v>
      </c>
      <c r="L67" s="54"/>
      <c r="M67" s="55">
        <f>M64+M65+M66</f>
        <v>1361.1600000000003</v>
      </c>
      <c r="N67" s="55">
        <f>N64+N65+N66</f>
        <v>705.8</v>
      </c>
      <c r="O67" s="54">
        <f t="shared" si="10"/>
        <v>-655.3600000000004</v>
      </c>
      <c r="P67" s="54">
        <f>N67/M67*100</f>
        <v>51.8528314085045</v>
      </c>
      <c r="Q67" s="54">
        <f>N67-7985.28</f>
        <v>-7279.48</v>
      </c>
      <c r="R67" s="173">
        <f>N67/7985.28</f>
        <v>0.08838763324517111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0.01</v>
      </c>
      <c r="G68" s="43">
        <f t="shared" si="8"/>
        <v>-13.99</v>
      </c>
      <c r="H68" s="35"/>
      <c r="I68" s="53">
        <f t="shared" si="9"/>
        <v>-34.99</v>
      </c>
      <c r="J68" s="53">
        <f t="shared" si="11"/>
        <v>0.028571428571428574</v>
      </c>
      <c r="K68" s="53">
        <f>F68-14.17</f>
        <v>-14.16</v>
      </c>
      <c r="L68" s="53">
        <f>F68/14.17*100</f>
        <v>0.07057163020465773</v>
      </c>
      <c r="M68" s="35">
        <f>E68-червень!E68</f>
        <v>0</v>
      </c>
      <c r="N68" s="35">
        <f>F68-червень!F68</f>
        <v>0.01</v>
      </c>
      <c r="O68" s="47">
        <f t="shared" si="10"/>
        <v>0.01</v>
      </c>
      <c r="P68" s="53"/>
      <c r="Q68" s="53">
        <f>N68-0.16</f>
        <v>-0.15</v>
      </c>
      <c r="R68" s="129">
        <f>N68/0.16</f>
        <v>0.0625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0.73</v>
      </c>
      <c r="G71" s="55">
        <f>F71-E71</f>
        <v>-25.27</v>
      </c>
      <c r="H71" s="65"/>
      <c r="I71" s="54">
        <f>F71-D71</f>
        <v>-53.27</v>
      </c>
      <c r="J71" s="54">
        <f>F71/D71*100</f>
        <v>1.3518518518518519</v>
      </c>
      <c r="K71" s="54">
        <f>K68+K69+K70</f>
        <v>-33.44</v>
      </c>
      <c r="L71" s="54"/>
      <c r="M71" s="55">
        <f>M68+M70+M69</f>
        <v>2</v>
      </c>
      <c r="N71" s="55">
        <f>N68+N70+N69</f>
        <v>-0.33000000000000007</v>
      </c>
      <c r="O71" s="54">
        <f>N71-M71</f>
        <v>-2.33</v>
      </c>
      <c r="P71" s="54"/>
      <c r="Q71" s="54">
        <f>N71-26.38</f>
        <v>-26.71</v>
      </c>
      <c r="R71" s="128">
        <f>N71/26.38</f>
        <v>-0.012509476876421535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5946.969999999999</v>
      </c>
      <c r="G74" s="44">
        <f>F74-E74</f>
        <v>896.619999999999</v>
      </c>
      <c r="H74" s="45">
        <f>F74/E74*100</f>
        <v>117.75362103616578</v>
      </c>
      <c r="I74" s="31">
        <f>F74-D74</f>
        <v>-11225.03</v>
      </c>
      <c r="J74" s="31">
        <f>F74/D74*100</f>
        <v>34.63178430002329</v>
      </c>
      <c r="K74" s="31">
        <f>K62+K67+K71+K72</f>
        <v>1029.68</v>
      </c>
      <c r="L74" s="31"/>
      <c r="M74" s="27">
        <f>M62+M72+M67+M71</f>
        <v>1364.3600000000004</v>
      </c>
      <c r="N74" s="27">
        <f>N62+N72+N67+N71+N73</f>
        <v>687.3199999999999</v>
      </c>
      <c r="O74" s="31">
        <f>N74-M74</f>
        <v>-677.0400000000004</v>
      </c>
      <c r="P74" s="31">
        <f>N74/M74*100</f>
        <v>50.376733413468564</v>
      </c>
      <c r="Q74" s="31">
        <f>N74-8104.96</f>
        <v>-7417.64</v>
      </c>
      <c r="R74" s="127">
        <f>N74/8104.96</f>
        <v>0.0848023926089703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388784.71999999986</v>
      </c>
      <c r="G75" s="44">
        <f>F75-E75</f>
        <v>48375.969999999914</v>
      </c>
      <c r="H75" s="45">
        <f>F75/E75*100</f>
        <v>114.21114175237854</v>
      </c>
      <c r="I75" s="31">
        <f>F75-D75</f>
        <v>-229409.88000000012</v>
      </c>
      <c r="J75" s="31">
        <f>F75/D75*100</f>
        <v>62.890345531973246</v>
      </c>
      <c r="K75" s="31">
        <f>K55+K74</f>
        <v>99098.29400000001</v>
      </c>
      <c r="L75" s="31">
        <f>F75/(F75-K75)*100</f>
        <v>134.2088151551844</v>
      </c>
      <c r="M75" s="18">
        <f>M55+M74</f>
        <v>48996.06</v>
      </c>
      <c r="N75" s="18">
        <f>N55+N74</f>
        <v>62526.41499999999</v>
      </c>
      <c r="O75" s="31">
        <f>N75-M75</f>
        <v>13530.354999999996</v>
      </c>
      <c r="P75" s="31">
        <f>N75/M75*100</f>
        <v>127.61518987445113</v>
      </c>
      <c r="Q75" s="31">
        <f>N75-42872.96</f>
        <v>19653.454999999994</v>
      </c>
      <c r="R75" s="127">
        <f>N75/42872.96</f>
        <v>1.4584114322873905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42215</v>
      </c>
      <c r="D79" s="34">
        <v>7239.9</v>
      </c>
      <c r="N79" s="246"/>
      <c r="O79" s="246"/>
    </row>
    <row r="80" spans="3:15" ht="15.75">
      <c r="C80" s="111">
        <v>42214</v>
      </c>
      <c r="D80" s="34">
        <v>4823.1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42213</v>
      </c>
      <c r="D81" s="34">
        <v>5734.7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91529.67090000001</v>
      </c>
      <c r="E83" s="73"/>
      <c r="F83" s="156" t="s">
        <v>147</v>
      </c>
      <c r="G83" s="252" t="s">
        <v>149</v>
      </c>
      <c r="H83" s="252"/>
      <c r="I83" s="107">
        <v>82619.93869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1" t="s">
        <v>280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117"/>
      <c r="R1" s="118"/>
    </row>
    <row r="2" spans="2:18" s="1" customFormat="1" ht="15.75" customHeight="1">
      <c r="B2" s="223"/>
      <c r="C2" s="223"/>
      <c r="D2" s="223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277</v>
      </c>
      <c r="N3" s="235" t="s">
        <v>278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279</v>
      </c>
      <c r="F4" s="262" t="s">
        <v>116</v>
      </c>
      <c r="G4" s="242" t="s">
        <v>275</v>
      </c>
      <c r="H4" s="219" t="s">
        <v>276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281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3"/>
      <c r="G5" s="243"/>
      <c r="H5" s="220"/>
      <c r="I5" s="244"/>
      <c r="J5" s="234"/>
      <c r="K5" s="238" t="s">
        <v>288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46"/>
      <c r="O79" s="246"/>
    </row>
    <row r="80" spans="3:15" ht="15.75">
      <c r="C80" s="111">
        <v>42181</v>
      </c>
      <c r="D80" s="34">
        <v>8722.4</v>
      </c>
      <c r="F80" s="217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42180</v>
      </c>
      <c r="D81" s="34">
        <v>4146.6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3:13" ht="15.75" customHeight="1">
      <c r="C82" s="111"/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152943.93305000002</v>
      </c>
      <c r="E83" s="73"/>
      <c r="F83" s="218" t="s">
        <v>147</v>
      </c>
      <c r="G83" s="252" t="s">
        <v>149</v>
      </c>
      <c r="H83" s="252"/>
      <c r="I83" s="107">
        <v>144034.20084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266</v>
      </c>
      <c r="N3" s="235" t="s">
        <v>267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262</v>
      </c>
      <c r="F4" s="240" t="s">
        <v>116</v>
      </c>
      <c r="G4" s="242" t="s">
        <v>263</v>
      </c>
      <c r="H4" s="219" t="s">
        <v>264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273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265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5"/>
      <c r="H78" s="245"/>
      <c r="I78" s="245"/>
      <c r="J78" s="245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46"/>
      <c r="O79" s="246"/>
    </row>
    <row r="80" spans="3:15" ht="15.75">
      <c r="C80" s="111">
        <v>42152</v>
      </c>
      <c r="D80" s="34">
        <v>5845.4</v>
      </c>
      <c r="F80" s="155" t="s">
        <v>166</v>
      </c>
      <c r="G80" s="247"/>
      <c r="H80" s="247"/>
      <c r="I80" s="177"/>
      <c r="J80" s="248"/>
      <c r="K80" s="248"/>
      <c r="L80" s="248"/>
      <c r="M80" s="248"/>
      <c r="N80" s="246"/>
      <c r="O80" s="246"/>
    </row>
    <row r="81" spans="3:15" ht="15.75" customHeight="1">
      <c r="C81" s="111">
        <v>42151</v>
      </c>
      <c r="D81" s="34">
        <v>3158.7</v>
      </c>
      <c r="G81" s="252" t="s">
        <v>151</v>
      </c>
      <c r="H81" s="252"/>
      <c r="I81" s="106">
        <v>8909.73221</v>
      </c>
      <c r="J81" s="253"/>
      <c r="K81" s="253"/>
      <c r="L81" s="253"/>
      <c r="M81" s="253"/>
      <c r="N81" s="246"/>
      <c r="O81" s="246"/>
    </row>
    <row r="82" spans="7:13" ht="15.75" customHeight="1">
      <c r="G82" s="254" t="s">
        <v>234</v>
      </c>
      <c r="H82" s="255"/>
      <c r="I82" s="103">
        <v>0</v>
      </c>
      <c r="J82" s="248"/>
      <c r="K82" s="248"/>
      <c r="L82" s="248"/>
      <c r="M82" s="248"/>
    </row>
    <row r="83" spans="2:13" ht="18.75" customHeight="1">
      <c r="B83" s="256" t="s">
        <v>160</v>
      </c>
      <c r="C83" s="257"/>
      <c r="D83" s="108">
        <v>153606.78</v>
      </c>
      <c r="E83" s="73"/>
      <c r="F83" s="156" t="s">
        <v>147</v>
      </c>
      <c r="G83" s="252" t="s">
        <v>149</v>
      </c>
      <c r="H83" s="252"/>
      <c r="I83" s="107">
        <v>144697.05</v>
      </c>
      <c r="J83" s="248"/>
      <c r="K83" s="248"/>
      <c r="L83" s="248"/>
      <c r="M83" s="248"/>
    </row>
    <row r="84" spans="7:12" ht="9.75" customHeight="1">
      <c r="G84" s="247"/>
      <c r="H84" s="247"/>
      <c r="I84" s="90"/>
      <c r="J84" s="91"/>
      <c r="K84" s="91"/>
      <c r="L84" s="91"/>
    </row>
    <row r="85" spans="2:12" ht="22.5" customHeight="1" hidden="1">
      <c r="B85" s="258" t="s">
        <v>167</v>
      </c>
      <c r="C85" s="259"/>
      <c r="D85" s="110">
        <v>0</v>
      </c>
      <c r="E85" s="70" t="s">
        <v>104</v>
      </c>
      <c r="G85" s="247"/>
      <c r="H85" s="247"/>
      <c r="I85" s="90"/>
      <c r="J85" s="91"/>
      <c r="K85" s="91"/>
      <c r="L85" s="91"/>
    </row>
    <row r="86" spans="4:15" ht="15.75">
      <c r="D86" s="105"/>
      <c r="N86" s="247"/>
      <c r="O86" s="247"/>
    </row>
    <row r="87" spans="4:15" ht="15.75">
      <c r="D87" s="104"/>
      <c r="I87" s="34"/>
      <c r="N87" s="260"/>
      <c r="O87" s="260"/>
    </row>
    <row r="88" spans="14:15" ht="15.75">
      <c r="N88" s="247"/>
      <c r="O88" s="247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259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261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240</v>
      </c>
      <c r="N3" s="235" t="s">
        <v>241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237</v>
      </c>
      <c r="F4" s="264" t="s">
        <v>116</v>
      </c>
      <c r="G4" s="242" t="s">
        <v>238</v>
      </c>
      <c r="H4" s="219" t="s">
        <v>239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260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65"/>
      <c r="G5" s="243"/>
      <c r="H5" s="220"/>
      <c r="I5" s="244"/>
      <c r="J5" s="234"/>
      <c r="K5" s="238" t="s">
        <v>242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5"/>
      <c r="H103" s="245"/>
      <c r="I103" s="245"/>
      <c r="J103" s="245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46"/>
      <c r="O104" s="246"/>
    </row>
    <row r="105" spans="3:15" ht="15.75">
      <c r="C105" s="111">
        <v>42123</v>
      </c>
      <c r="D105" s="34">
        <v>7959.6</v>
      </c>
      <c r="F105" s="201" t="s">
        <v>166</v>
      </c>
      <c r="G105" s="247"/>
      <c r="H105" s="247"/>
      <c r="I105" s="177"/>
      <c r="J105" s="248"/>
      <c r="K105" s="248"/>
      <c r="L105" s="248"/>
      <c r="M105" s="248"/>
      <c r="N105" s="246"/>
      <c r="O105" s="246"/>
    </row>
    <row r="106" spans="3:15" ht="15.75" customHeight="1">
      <c r="C106" s="111">
        <v>42122</v>
      </c>
      <c r="D106" s="34">
        <v>4962.7</v>
      </c>
      <c r="G106" s="252" t="s">
        <v>151</v>
      </c>
      <c r="H106" s="252"/>
      <c r="I106" s="106">
        <v>8909.73221</v>
      </c>
      <c r="J106" s="253"/>
      <c r="K106" s="253"/>
      <c r="L106" s="253"/>
      <c r="M106" s="253"/>
      <c r="N106" s="246"/>
      <c r="O106" s="246"/>
    </row>
    <row r="107" spans="7:13" ht="15.75" customHeight="1">
      <c r="G107" s="254" t="s">
        <v>234</v>
      </c>
      <c r="H107" s="255"/>
      <c r="I107" s="103">
        <v>0</v>
      </c>
      <c r="J107" s="248"/>
      <c r="K107" s="248"/>
      <c r="L107" s="248"/>
      <c r="M107" s="248"/>
    </row>
    <row r="108" spans="2:13" ht="18.75" customHeight="1">
      <c r="B108" s="256" t="s">
        <v>160</v>
      </c>
      <c r="C108" s="257"/>
      <c r="D108" s="108">
        <v>154856.06924</v>
      </c>
      <c r="E108" s="73"/>
      <c r="F108" s="202" t="s">
        <v>147</v>
      </c>
      <c r="G108" s="252" t="s">
        <v>149</v>
      </c>
      <c r="H108" s="252"/>
      <c r="I108" s="107">
        <v>145946.33703</v>
      </c>
      <c r="J108" s="248"/>
      <c r="K108" s="248"/>
      <c r="L108" s="248"/>
      <c r="M108" s="248"/>
    </row>
    <row r="109" spans="7:12" ht="9.75" customHeight="1">
      <c r="G109" s="247"/>
      <c r="H109" s="247"/>
      <c r="I109" s="90"/>
      <c r="J109" s="91"/>
      <c r="K109" s="91"/>
      <c r="L109" s="91"/>
    </row>
    <row r="110" spans="2:12" ht="22.5" customHeight="1" hidden="1">
      <c r="B110" s="258" t="s">
        <v>167</v>
      </c>
      <c r="C110" s="259"/>
      <c r="D110" s="110">
        <v>0</v>
      </c>
      <c r="E110" s="70" t="s">
        <v>104</v>
      </c>
      <c r="G110" s="247"/>
      <c r="H110" s="247"/>
      <c r="I110" s="90"/>
      <c r="J110" s="91"/>
      <c r="K110" s="91"/>
      <c r="L110" s="91"/>
    </row>
    <row r="111" spans="4:15" ht="15.75">
      <c r="D111" s="105"/>
      <c r="N111" s="247"/>
      <c r="O111" s="247"/>
    </row>
    <row r="112" spans="4:15" ht="15.75">
      <c r="D112" s="104"/>
      <c r="I112" s="34"/>
      <c r="N112" s="260"/>
      <c r="O112" s="260"/>
    </row>
    <row r="113" spans="14:15" ht="15.75">
      <c r="N113" s="247"/>
      <c r="O113" s="247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/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231</v>
      </c>
      <c r="N3" s="235" t="s">
        <v>232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228</v>
      </c>
      <c r="F4" s="240" t="s">
        <v>116</v>
      </c>
      <c r="G4" s="242" t="s">
        <v>229</v>
      </c>
      <c r="H4" s="219" t="s">
        <v>230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236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233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46"/>
      <c r="O105" s="246"/>
    </row>
    <row r="106" spans="3:15" ht="15.75">
      <c r="C106" s="111">
        <v>42093</v>
      </c>
      <c r="D106" s="34">
        <v>8025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42090</v>
      </c>
      <c r="D107" s="34">
        <v>4282.6</v>
      </c>
      <c r="G107" s="252" t="s">
        <v>151</v>
      </c>
      <c r="H107" s="252"/>
      <c r="I107" s="106">
        <f>8909732.21/1000</f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54" t="s">
        <v>234</v>
      </c>
      <c r="H108" s="255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147433239.77/1000</f>
        <v>147433.23977000001</v>
      </c>
      <c r="E109" s="73"/>
      <c r="F109" s="156" t="s">
        <v>147</v>
      </c>
      <c r="G109" s="252" t="s">
        <v>149</v>
      </c>
      <c r="H109" s="252"/>
      <c r="I109" s="107">
        <f>138523507.56/1000</f>
        <v>138523.50756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227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221</v>
      </c>
      <c r="N3" s="235" t="s">
        <v>202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199</v>
      </c>
      <c r="F4" s="240" t="s">
        <v>116</v>
      </c>
      <c r="G4" s="242" t="s">
        <v>200</v>
      </c>
      <c r="H4" s="219" t="s">
        <v>201</v>
      </c>
      <c r="I4" s="221" t="s">
        <v>217</v>
      </c>
      <c r="J4" s="233" t="s">
        <v>218</v>
      </c>
      <c r="K4" s="116" t="s">
        <v>172</v>
      </c>
      <c r="L4" s="121" t="s">
        <v>171</v>
      </c>
      <c r="M4" s="233"/>
      <c r="N4" s="249" t="s">
        <v>226</v>
      </c>
      <c r="O4" s="221" t="s">
        <v>136</v>
      </c>
      <c r="P4" s="251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20"/>
      <c r="I5" s="244"/>
      <c r="J5" s="234"/>
      <c r="K5" s="238" t="s">
        <v>224</v>
      </c>
      <c r="L5" s="239"/>
      <c r="M5" s="234"/>
      <c r="N5" s="250"/>
      <c r="O5" s="244"/>
      <c r="P5" s="251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5"/>
      <c r="H104" s="245"/>
      <c r="I104" s="245"/>
      <c r="J104" s="245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46"/>
      <c r="O105" s="246"/>
    </row>
    <row r="106" spans="3:15" ht="15.75">
      <c r="C106" s="111">
        <v>42061</v>
      </c>
      <c r="D106" s="34">
        <v>6003.3</v>
      </c>
      <c r="F106" s="155" t="s">
        <v>166</v>
      </c>
      <c r="G106" s="247"/>
      <c r="H106" s="247"/>
      <c r="I106" s="177"/>
      <c r="J106" s="248"/>
      <c r="K106" s="248"/>
      <c r="L106" s="248"/>
      <c r="M106" s="248"/>
      <c r="N106" s="246"/>
      <c r="O106" s="246"/>
    </row>
    <row r="107" spans="3:15" ht="15.75" customHeight="1">
      <c r="C107" s="111">
        <v>42060</v>
      </c>
      <c r="D107" s="34">
        <v>1551.3</v>
      </c>
      <c r="G107" s="252" t="s">
        <v>151</v>
      </c>
      <c r="H107" s="252"/>
      <c r="I107" s="106">
        <v>8909.73221</v>
      </c>
      <c r="J107" s="253"/>
      <c r="K107" s="253"/>
      <c r="L107" s="253"/>
      <c r="M107" s="253"/>
      <c r="N107" s="246"/>
      <c r="O107" s="246"/>
    </row>
    <row r="108" spans="7:13" ht="15.75" customHeight="1">
      <c r="G108" s="266" t="s">
        <v>155</v>
      </c>
      <c r="H108" s="266"/>
      <c r="I108" s="103">
        <v>0</v>
      </c>
      <c r="J108" s="248"/>
      <c r="K108" s="248"/>
      <c r="L108" s="248"/>
      <c r="M108" s="248"/>
    </row>
    <row r="109" spans="2:13" ht="18.75" customHeight="1">
      <c r="B109" s="256" t="s">
        <v>160</v>
      </c>
      <c r="C109" s="257"/>
      <c r="D109" s="108">
        <f>138305956.27/1000</f>
        <v>138305.95627000002</v>
      </c>
      <c r="E109" s="73"/>
      <c r="F109" s="156" t="s">
        <v>147</v>
      </c>
      <c r="G109" s="252" t="s">
        <v>149</v>
      </c>
      <c r="H109" s="252"/>
      <c r="I109" s="107">
        <v>129396.23</v>
      </c>
      <c r="J109" s="248"/>
      <c r="K109" s="248"/>
      <c r="L109" s="248"/>
      <c r="M109" s="248"/>
    </row>
    <row r="110" spans="7:12" ht="9.75" customHeight="1">
      <c r="G110" s="247"/>
      <c r="H110" s="247"/>
      <c r="I110" s="90"/>
      <c r="J110" s="91"/>
      <c r="K110" s="91"/>
      <c r="L110" s="91"/>
    </row>
    <row r="111" spans="2:12" ht="22.5" customHeight="1" hidden="1">
      <c r="B111" s="258" t="s">
        <v>167</v>
      </c>
      <c r="C111" s="259"/>
      <c r="D111" s="110">
        <v>0</v>
      </c>
      <c r="E111" s="70" t="s">
        <v>104</v>
      </c>
      <c r="G111" s="247"/>
      <c r="H111" s="247"/>
      <c r="I111" s="90"/>
      <c r="J111" s="91"/>
      <c r="K111" s="91"/>
      <c r="L111" s="91"/>
    </row>
    <row r="112" spans="4:15" ht="15.75">
      <c r="D112" s="105"/>
      <c r="N112" s="247"/>
      <c r="O112" s="247"/>
    </row>
    <row r="113" spans="4:15" ht="15.75">
      <c r="D113" s="104"/>
      <c r="I113" s="34"/>
      <c r="N113" s="260"/>
      <c r="O113" s="260"/>
    </row>
    <row r="114" spans="14:15" ht="15.75">
      <c r="N114" s="247"/>
      <c r="O114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205</v>
      </c>
      <c r="C3" s="227" t="s">
        <v>0</v>
      </c>
      <c r="D3" s="228" t="s">
        <v>216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220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219</v>
      </c>
      <c r="F4" s="240" t="s">
        <v>116</v>
      </c>
      <c r="G4" s="242" t="s">
        <v>173</v>
      </c>
      <c r="H4" s="273" t="s">
        <v>174</v>
      </c>
      <c r="I4" s="271" t="s">
        <v>217</v>
      </c>
      <c r="J4" s="269" t="s">
        <v>218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5"/>
      <c r="H102" s="245"/>
      <c r="I102" s="245"/>
      <c r="J102" s="245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46"/>
      <c r="O103" s="246"/>
    </row>
    <row r="104" spans="3:15" ht="15.75">
      <c r="C104" s="111">
        <v>42033</v>
      </c>
      <c r="D104" s="34">
        <v>2896.5</v>
      </c>
      <c r="F104" s="155" t="s">
        <v>166</v>
      </c>
      <c r="G104" s="252" t="s">
        <v>151</v>
      </c>
      <c r="H104" s="252"/>
      <c r="I104" s="106">
        <f>'січень '!I139</f>
        <v>8909.733</v>
      </c>
      <c r="J104" s="267" t="s">
        <v>161</v>
      </c>
      <c r="K104" s="267"/>
      <c r="L104" s="267"/>
      <c r="M104" s="267"/>
      <c r="N104" s="246"/>
      <c r="O104" s="246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68" t="s">
        <v>162</v>
      </c>
      <c r="K105" s="268"/>
      <c r="L105" s="268"/>
      <c r="M105" s="268"/>
      <c r="N105" s="246"/>
      <c r="O105" s="246"/>
    </row>
    <row r="106" spans="7:13" ht="15.75" customHeight="1">
      <c r="G106" s="252" t="s">
        <v>148</v>
      </c>
      <c r="H106" s="252"/>
      <c r="I106" s="103">
        <f>'січень '!I141</f>
        <v>0</v>
      </c>
      <c r="J106" s="267" t="s">
        <v>163</v>
      </c>
      <c r="K106" s="267"/>
      <c r="L106" s="267"/>
      <c r="M106" s="267"/>
    </row>
    <row r="107" spans="2:13" ht="18.75" customHeight="1">
      <c r="B107" s="256" t="s">
        <v>160</v>
      </c>
      <c r="C107" s="257"/>
      <c r="D107" s="108">
        <f>'січень '!D142</f>
        <v>132375.63</v>
      </c>
      <c r="E107" s="73"/>
      <c r="F107" s="156" t="s">
        <v>147</v>
      </c>
      <c r="G107" s="252" t="s">
        <v>149</v>
      </c>
      <c r="H107" s="252"/>
      <c r="I107" s="107">
        <f>'січень '!I142</f>
        <v>123465.893</v>
      </c>
      <c r="J107" s="267" t="s">
        <v>164</v>
      </c>
      <c r="K107" s="267"/>
      <c r="L107" s="267"/>
      <c r="M107" s="267"/>
    </row>
    <row r="108" spans="7:12" ht="9.75" customHeight="1">
      <c r="G108" s="247"/>
      <c r="H108" s="247"/>
      <c r="I108" s="90"/>
      <c r="J108" s="91"/>
      <c r="K108" s="91"/>
      <c r="L108" s="91"/>
    </row>
    <row r="109" spans="2:12" ht="22.5" customHeight="1" hidden="1">
      <c r="B109" s="258" t="s">
        <v>167</v>
      </c>
      <c r="C109" s="259"/>
      <c r="D109" s="110">
        <v>0</v>
      </c>
      <c r="E109" s="70" t="s">
        <v>104</v>
      </c>
      <c r="G109" s="247"/>
      <c r="H109" s="247"/>
      <c r="I109" s="90"/>
      <c r="J109" s="91"/>
      <c r="K109" s="91"/>
      <c r="L109" s="91"/>
    </row>
    <row r="110" spans="4:15" ht="15.75">
      <c r="D110" s="105"/>
      <c r="N110" s="247"/>
      <c r="O110" s="247"/>
    </row>
    <row r="111" spans="4:15" ht="15.75">
      <c r="D111" s="104"/>
      <c r="I111" s="34"/>
      <c r="N111" s="260"/>
      <c r="O111" s="260"/>
    </row>
    <row r="112" spans="14:15" ht="15.75">
      <c r="N112" s="247"/>
      <c r="O112" s="247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117"/>
      <c r="R1" s="118"/>
    </row>
    <row r="2" spans="2:18" s="1" customFormat="1" ht="15.75" customHeight="1">
      <c r="B2" s="223"/>
      <c r="C2" s="223"/>
      <c r="D2" s="223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24"/>
      <c r="B3" s="226" t="s">
        <v>203</v>
      </c>
      <c r="C3" s="227" t="s">
        <v>0</v>
      </c>
      <c r="D3" s="228" t="s">
        <v>190</v>
      </c>
      <c r="E3" s="40"/>
      <c r="F3" s="229" t="s">
        <v>107</v>
      </c>
      <c r="G3" s="230"/>
      <c r="H3" s="230"/>
      <c r="I3" s="230"/>
      <c r="J3" s="231"/>
      <c r="K3" s="114"/>
      <c r="L3" s="114"/>
      <c r="M3" s="232" t="s">
        <v>187</v>
      </c>
      <c r="N3" s="235" t="s">
        <v>175</v>
      </c>
      <c r="O3" s="235"/>
      <c r="P3" s="235"/>
      <c r="Q3" s="235"/>
      <c r="R3" s="235"/>
    </row>
    <row r="4" spans="1:18" ht="22.5" customHeight="1">
      <c r="A4" s="224"/>
      <c r="B4" s="226"/>
      <c r="C4" s="227"/>
      <c r="D4" s="228"/>
      <c r="E4" s="236" t="s">
        <v>153</v>
      </c>
      <c r="F4" s="240" t="s">
        <v>116</v>
      </c>
      <c r="G4" s="242" t="s">
        <v>173</v>
      </c>
      <c r="H4" s="273" t="s">
        <v>174</v>
      </c>
      <c r="I4" s="271" t="s">
        <v>186</v>
      </c>
      <c r="J4" s="269" t="s">
        <v>189</v>
      </c>
      <c r="K4" s="116" t="s">
        <v>172</v>
      </c>
      <c r="L4" s="121" t="s">
        <v>171</v>
      </c>
      <c r="M4" s="233"/>
      <c r="N4" s="249" t="s">
        <v>194</v>
      </c>
      <c r="O4" s="271" t="s">
        <v>136</v>
      </c>
      <c r="P4" s="235" t="s">
        <v>135</v>
      </c>
      <c r="Q4" s="122" t="s">
        <v>172</v>
      </c>
      <c r="R4" s="123" t="s">
        <v>171</v>
      </c>
    </row>
    <row r="5" spans="1:19" ht="92.25" customHeight="1">
      <c r="A5" s="225"/>
      <c r="B5" s="226"/>
      <c r="C5" s="227"/>
      <c r="D5" s="228"/>
      <c r="E5" s="237"/>
      <c r="F5" s="241"/>
      <c r="G5" s="243"/>
      <c r="H5" s="274"/>
      <c r="I5" s="272"/>
      <c r="J5" s="270"/>
      <c r="K5" s="238" t="s">
        <v>188</v>
      </c>
      <c r="L5" s="239"/>
      <c r="M5" s="234"/>
      <c r="N5" s="250"/>
      <c r="O5" s="272"/>
      <c r="P5" s="235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5"/>
      <c r="H137" s="245"/>
      <c r="I137" s="245"/>
      <c r="J137" s="245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46"/>
      <c r="O138" s="246"/>
    </row>
    <row r="139" spans="3:15" ht="15.75">
      <c r="C139" s="111">
        <v>42033</v>
      </c>
      <c r="D139" s="34">
        <v>2896.5</v>
      </c>
      <c r="F139" s="155" t="s">
        <v>166</v>
      </c>
      <c r="G139" s="252" t="s">
        <v>151</v>
      </c>
      <c r="H139" s="252"/>
      <c r="I139" s="106">
        <f>8909.733</f>
        <v>8909.733</v>
      </c>
      <c r="J139" s="267" t="s">
        <v>161</v>
      </c>
      <c r="K139" s="267"/>
      <c r="L139" s="267"/>
      <c r="M139" s="267"/>
      <c r="N139" s="246"/>
      <c r="O139" s="246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68" t="s">
        <v>162</v>
      </c>
      <c r="K140" s="268"/>
      <c r="L140" s="268"/>
      <c r="M140" s="268"/>
      <c r="N140" s="246"/>
      <c r="O140" s="246"/>
    </row>
    <row r="141" spans="7:13" ht="15.75" customHeight="1">
      <c r="G141" s="252" t="s">
        <v>148</v>
      </c>
      <c r="H141" s="252"/>
      <c r="I141" s="103">
        <v>0</v>
      </c>
      <c r="J141" s="267" t="s">
        <v>163</v>
      </c>
      <c r="K141" s="267"/>
      <c r="L141" s="267"/>
      <c r="M141" s="267"/>
    </row>
    <row r="142" spans="2:13" ht="18.75" customHeight="1">
      <c r="B142" s="256" t="s">
        <v>160</v>
      </c>
      <c r="C142" s="257"/>
      <c r="D142" s="108">
        <f>132375.63</f>
        <v>132375.63</v>
      </c>
      <c r="E142" s="73"/>
      <c r="F142" s="156" t="s">
        <v>147</v>
      </c>
      <c r="G142" s="252" t="s">
        <v>149</v>
      </c>
      <c r="H142" s="252"/>
      <c r="I142" s="107">
        <f>123465.893</f>
        <v>123465.893</v>
      </c>
      <c r="J142" s="267" t="s">
        <v>164</v>
      </c>
      <c r="K142" s="267"/>
      <c r="L142" s="267"/>
      <c r="M142" s="267"/>
    </row>
    <row r="143" spans="7:12" ht="9.75" customHeight="1">
      <c r="G143" s="247"/>
      <c r="H143" s="247"/>
      <c r="I143" s="90"/>
      <c r="J143" s="91"/>
      <c r="K143" s="91"/>
      <c r="L143" s="91"/>
    </row>
    <row r="144" spans="2:12" ht="22.5" customHeight="1" hidden="1">
      <c r="B144" s="258" t="s">
        <v>167</v>
      </c>
      <c r="C144" s="259"/>
      <c r="D144" s="110">
        <v>0</v>
      </c>
      <c r="E144" s="70" t="s">
        <v>104</v>
      </c>
      <c r="G144" s="247"/>
      <c r="H144" s="247"/>
      <c r="I144" s="90"/>
      <c r="J144" s="91"/>
      <c r="K144" s="91"/>
      <c r="L144" s="91"/>
    </row>
    <row r="145" spans="4:15" ht="15.75">
      <c r="D145" s="105"/>
      <c r="N145" s="247"/>
      <c r="O145" s="247"/>
    </row>
    <row r="146" spans="4:15" ht="15.75">
      <c r="D146" s="104"/>
      <c r="I146" s="34"/>
      <c r="N146" s="260"/>
      <c r="O146" s="260"/>
    </row>
    <row r="147" spans="14:15" ht="15.75">
      <c r="N147" s="247"/>
      <c r="O147" s="24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2015-07-31T11:32:05Z</cp:lastPrinted>
  <dcterms:created xsi:type="dcterms:W3CDTF">2003-07-28T11:27:56Z</dcterms:created>
  <dcterms:modified xsi:type="dcterms:W3CDTF">2015-07-31T11:41:16Z</dcterms:modified>
  <cp:category/>
  <cp:version/>
  <cp:contentType/>
  <cp:contentStatus/>
</cp:coreProperties>
</file>